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dcloud.sharepoint.com/sites/SalesValuedemocompany/Shared Documents/Products/SalesValue/"/>
    </mc:Choice>
  </mc:AlternateContent>
  <xr:revisionPtr revIDLastSave="27" documentId="8_{2A5380B2-5BF4-5446-9442-1EA87377CAB6}" xr6:coauthVersionLast="36" xr6:coauthVersionMax="36" xr10:uidLastSave="{9CBE654F-ED9E-274B-A2AC-9A42C2A94CA3}"/>
  <bookViews>
    <workbookView xWindow="0" yWindow="460" windowWidth="38400" windowHeight="21940" activeTab="1" xr2:uid="{E084D4D6-2CBE-D043-AFA1-A183C1A54DDD}"/>
  </bookViews>
  <sheets>
    <sheet name="Summary" sheetId="1" r:id="rId1"/>
    <sheet name="Input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2" l="1"/>
  <c r="G29" i="2" s="1"/>
  <c r="D38" i="2" l="1"/>
  <c r="D51" i="2"/>
  <c r="D50" i="2"/>
  <c r="C50" i="2"/>
  <c r="C51" i="2"/>
  <c r="D42" i="2"/>
  <c r="D41" i="2"/>
  <c r="C41" i="2"/>
  <c r="E41" i="2" s="1"/>
  <c r="B12" i="1"/>
  <c r="F26" i="2"/>
  <c r="E50" i="2" l="1"/>
  <c r="D40" i="2"/>
  <c r="D49" i="2" s="1"/>
  <c r="D47" i="2"/>
  <c r="E47" i="2" s="1"/>
  <c r="B25" i="1" s="1"/>
  <c r="E51" i="2"/>
  <c r="C49" i="2"/>
  <c r="E48" i="2"/>
  <c r="B26" i="1" s="1"/>
  <c r="D46" i="2"/>
  <c r="C46" i="2"/>
  <c r="C42" i="2"/>
  <c r="C40" i="2"/>
  <c r="E39" i="2"/>
  <c r="B18" i="1" s="1"/>
  <c r="D37" i="2"/>
  <c r="C37" i="2"/>
  <c r="F17" i="2"/>
  <c r="G17" i="2" s="1"/>
  <c r="G26" i="2"/>
  <c r="G31" i="2" s="1"/>
  <c r="E20" i="2"/>
  <c r="G20" i="2" s="1"/>
  <c r="B6" i="1" l="1"/>
  <c r="G22" i="2"/>
  <c r="E46" i="2"/>
  <c r="E37" i="2"/>
  <c r="B16" i="1" s="1"/>
  <c r="E42" i="2"/>
  <c r="B20" i="1" s="1"/>
  <c r="E49" i="2"/>
  <c r="E40" i="2"/>
  <c r="B19" i="1" s="1"/>
  <c r="E38" i="2"/>
  <c r="B17" i="1" s="1"/>
  <c r="B11" i="1"/>
  <c r="B13" i="1" s="1"/>
  <c r="B7" i="1"/>
  <c r="B28" i="1"/>
  <c r="E52" i="2" l="1"/>
  <c r="H30" i="1" s="1"/>
  <c r="F32" i="1"/>
  <c r="H32" i="1"/>
  <c r="G32" i="1"/>
  <c r="B8" i="1"/>
  <c r="E43" i="2"/>
  <c r="E30" i="1" s="1"/>
  <c r="E33" i="1" s="1"/>
  <c r="B27" i="1"/>
  <c r="B24" i="1"/>
  <c r="B21" i="1"/>
  <c r="F30" i="1" l="1"/>
  <c r="G30" i="1"/>
  <c r="H31" i="1"/>
  <c r="G31" i="1"/>
  <c r="F31" i="1"/>
  <c r="B29" i="1"/>
  <c r="F33" i="1" l="1"/>
  <c r="G33" i="1" s="1"/>
  <c r="B33" i="1"/>
  <c r="H33" i="1"/>
  <c r="B32" i="1" s="1"/>
</calcChain>
</file>

<file path=xl/sharedStrings.xml><?xml version="1.0" encoding="utf-8"?>
<sst xmlns="http://schemas.openxmlformats.org/spreadsheetml/2006/main" count="131" uniqueCount="71">
  <si>
    <t>Typically 30%</t>
  </si>
  <si>
    <t>Time needed by new sales people to become effective</t>
  </si>
  <si>
    <t>Time wasted search for and creating content</t>
  </si>
  <si>
    <t>3-4 hours per week per rep</t>
  </si>
  <si>
    <t>Unit</t>
  </si>
  <si>
    <t>Base line</t>
  </si>
  <si>
    <t>Comments</t>
  </si>
  <si>
    <t>Hours</t>
  </si>
  <si>
    <t>%</t>
  </si>
  <si>
    <t>Quota attainment</t>
  </si>
  <si>
    <t>After</t>
  </si>
  <si>
    <t>Unit cost</t>
  </si>
  <si>
    <t>Saving</t>
  </si>
  <si>
    <t>No new sales people per year</t>
  </si>
  <si>
    <t>Number of sales and marketing people</t>
  </si>
  <si>
    <t>Turn over in sales and marketing team</t>
  </si>
  <si>
    <t>Saved new hires</t>
  </si>
  <si>
    <t>Total</t>
  </si>
  <si>
    <t>Software licenses</t>
  </si>
  <si>
    <t xml:space="preserve">Cost for hiring a new employee </t>
  </si>
  <si>
    <t>Employee monthly cost</t>
  </si>
  <si>
    <t>Yearly costs</t>
  </si>
  <si>
    <t>Consulting services</t>
  </si>
  <si>
    <t>Internal implementation time</t>
  </si>
  <si>
    <t>Internal training time</t>
  </si>
  <si>
    <t xml:space="preserve">Infrastructure </t>
  </si>
  <si>
    <t>Software licenses and support</t>
  </si>
  <si>
    <t>Yearly</t>
  </si>
  <si>
    <t>Implementation lenght in months</t>
  </si>
  <si>
    <t>Saving calculations</t>
  </si>
  <si>
    <t>Internal maintenance and development time</t>
  </si>
  <si>
    <t>50% improvement</t>
  </si>
  <si>
    <t>Aberdeen Group, Analysis, 2015</t>
  </si>
  <si>
    <t>One time costs / First year</t>
  </si>
  <si>
    <t>Year</t>
  </si>
  <si>
    <t>Cost</t>
  </si>
  <si>
    <t>ROI</t>
  </si>
  <si>
    <t>Total accumulated</t>
  </si>
  <si>
    <t>Cost calculations</t>
  </si>
  <si>
    <t>Sales quota</t>
  </si>
  <si>
    <t># units</t>
  </si>
  <si>
    <t xml:space="preserve">Users </t>
  </si>
  <si>
    <t>Cost per unit (yearly)</t>
  </si>
  <si>
    <t>Basic information</t>
  </si>
  <si>
    <t>One time / First year costs</t>
  </si>
  <si>
    <t xml:space="preserve">Sales Enablement </t>
  </si>
  <si>
    <t>ROI and Business Case calculator</t>
  </si>
  <si>
    <t>Months needed by new sales people to become effective</t>
  </si>
  <si>
    <t>Factor for reduced productivity</t>
  </si>
  <si>
    <t>Higher sales</t>
  </si>
  <si>
    <t>Time saving</t>
  </si>
  <si>
    <t>Saving on hiring costs</t>
  </si>
  <si>
    <t>Time wasted searching for and creating content</t>
  </si>
  <si>
    <t>Number of sellers (not overlay or managers)</t>
  </si>
  <si>
    <t xml:space="preserve">IT Infrastructure </t>
  </si>
  <si>
    <t>Increased revenue</t>
  </si>
  <si>
    <t>Revenue</t>
  </si>
  <si>
    <t>Baseline is 4 hours per user.</t>
  </si>
  <si>
    <t xml:space="preserve">Baseline is 2 days per seller, which is based on an estimate of appropriate efforts to improve content as part of the project. </t>
  </si>
  <si>
    <t>Internal time for content development and management</t>
  </si>
  <si>
    <t>Based on yearly turn over in users.</t>
  </si>
  <si>
    <t>Average of 7 month</t>
  </si>
  <si>
    <t>CSO 2016 study</t>
  </si>
  <si>
    <t>Hubspot article</t>
  </si>
  <si>
    <t>CSO 2017 study</t>
  </si>
  <si>
    <t>IDC, 2013, Sales Enablement overview</t>
  </si>
  <si>
    <t>Baseline is 2 hours per user, which is based on an estimate of appropriate efforts</t>
  </si>
  <si>
    <t>Baseline is 4 hours per user, which is based on an estimate of appropriate efforts</t>
  </si>
  <si>
    <t>Payback time (months)</t>
  </si>
  <si>
    <t>Baseline is 1 hours per user, which is based on an estimate of appropriate efforts</t>
  </si>
  <si>
    <t>Baseline is 1/2 hours per user, which is based on an estimate of appropriate efforts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</si>
</sst>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_ ;_-[$$-409]* \-#,##0\ ;_-[$$-409]* &quot;-&quot;??_ ;_-@_ "/>
    <numFmt numFmtId="165" formatCode="0.0%"/>
    <numFmt numFmtId="166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2"/>
    <xf numFmtId="9" fontId="0" fillId="0" borderId="0" xfId="0" applyNumberFormat="1"/>
    <xf numFmtId="164" fontId="0" fillId="0" borderId="0" xfId="0" applyNumberFormat="1"/>
    <xf numFmtId="0" fontId="3" fillId="0" borderId="2" xfId="3" applyFill="1"/>
    <xf numFmtId="0" fontId="3" fillId="0" borderId="2" xfId="3" applyFill="1" applyAlignment="1">
      <alignment wrapText="1"/>
    </xf>
    <xf numFmtId="0" fontId="3" fillId="0" borderId="2" xfId="3"/>
    <xf numFmtId="0" fontId="4" fillId="0" borderId="3" xfId="4"/>
    <xf numFmtId="164" fontId="4" fillId="0" borderId="3" xfId="4" applyNumberFormat="1"/>
    <xf numFmtId="0" fontId="5" fillId="0" borderId="1" xfId="2" applyFont="1"/>
    <xf numFmtId="0" fontId="6" fillId="0" borderId="0" xfId="0" applyFont="1"/>
    <xf numFmtId="0" fontId="2" fillId="0" borderId="1" xfId="2" applyAlignment="1">
      <alignment wrapText="1"/>
    </xf>
    <xf numFmtId="0" fontId="5" fillId="0" borderId="0" xfId="2" applyFont="1" applyBorder="1"/>
    <xf numFmtId="9" fontId="3" fillId="0" borderId="2" xfId="1" applyFont="1" applyBorder="1"/>
    <xf numFmtId="0" fontId="3" fillId="0" borderId="2" xfId="3" applyAlignment="1">
      <alignment wrapText="1"/>
    </xf>
    <xf numFmtId="0" fontId="7" fillId="0" borderId="0" xfId="5"/>
    <xf numFmtId="165" fontId="0" fillId="0" borderId="0" xfId="0" applyNumberFormat="1"/>
    <xf numFmtId="166" fontId="4" fillId="0" borderId="3" xfId="4" applyNumberFormat="1"/>
  </cellXfs>
  <cellStyles count="6">
    <cellStyle name="Link" xfId="5" builtinId="8"/>
    <cellStyle name="Normal" xfId="0" builtinId="0"/>
    <cellStyle name="Overskrift 1" xfId="2" builtinId="16"/>
    <cellStyle name="Overskrift 2" xfId="3" builtinId="17"/>
    <cellStyle name="Procent" xfId="1" builtinId="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Saving from Sales Enablement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Summary!$D$30</c:f>
              <c:strCache>
                <c:ptCount val="1"/>
                <c:pt idx="0">
                  <c:v>Cost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Summary!$E$29:$H$29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Summary!$E$30:$H$30</c:f>
              <c:numCache>
                <c:formatCode>_-[$$-409]* #,##0_ ;_-[$$-409]* \-#,##0\ ;_-[$$-409]* "-"??_ ;_-@_ </c:formatCode>
                <c:ptCount val="4"/>
                <c:pt idx="0">
                  <c:v>375300</c:v>
                </c:pt>
                <c:pt idx="1">
                  <c:v>243425</c:v>
                </c:pt>
                <c:pt idx="2">
                  <c:v>243425</c:v>
                </c:pt>
                <c:pt idx="3">
                  <c:v>243425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6-B84E-B020-9A65C2334A24}"/>
            </c:ext>
          </c:extLst>
        </c:ser>
        <c:ser>
          <c:idx val="1"/>
          <c:order val="1"/>
          <c:tx>
            <c:strRef>
              <c:f>Summary!$D$31</c:f>
              <c:strCache>
                <c:ptCount val="1"/>
                <c:pt idx="0">
                  <c:v>Saving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Summary!$E$29:$H$29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Summary!$F$11:$H$11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6-B84E-B020-9A65C2334A24}"/>
            </c:ext>
          </c:extLst>
        </c:ser>
        <c:ser>
          <c:idx val="2"/>
          <c:order val="2"/>
          <c:tx>
            <c:strRef>
              <c:f>Summary!$D$33</c:f>
              <c:strCache>
                <c:ptCount val="1"/>
                <c:pt idx="0">
                  <c:v>Total accumulated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Summary!$E$29:$H$29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Summary!$E$33:$H$33</c:f>
              <c:numCache>
                <c:formatCode>_-[$$-409]* #,##0_ ;_-[$$-409]* \-#,##0\ ;_-[$$-409]* "-"??_ ;_-@_ </c:formatCode>
                <c:ptCount val="4"/>
                <c:pt idx="0">
                  <c:v>-375300</c:v>
                </c:pt>
                <c:pt idx="1">
                  <c:v>187525</c:v>
                </c:pt>
                <c:pt idx="2">
                  <c:v>1019100</c:v>
                </c:pt>
                <c:pt idx="3">
                  <c:v>1850675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76-B84E-B020-9A65C2334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272735"/>
        <c:axId val="1948766495"/>
      </c:lineChart>
      <c:catAx>
        <c:axId val="194827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48766495"/>
        <c:crosses val="autoZero"/>
        <c:auto val="1"/>
        <c:lblAlgn val="ctr"/>
        <c:lblOffset val="100"/>
        <c:noMultiLvlLbl val="0"/>
      </c:catAx>
      <c:valAx>
        <c:axId val="1948766495"/>
        <c:scaling>
          <c:orientation val="minMax"/>
        </c:scaling>
        <c:delete val="0"/>
        <c:axPos val="l"/>
        <c:numFmt formatCode="[$$-409]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4827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660400</xdr:colOff>
      <xdr:row>0</xdr:row>
      <xdr:rowOff>114300</xdr:rowOff>
    </xdr:from>
    <xdr:to>
      <xdr:col>7</xdr:col>
      <xdr:colOff>1062736</xdr:colOff>
      <xdr:row>3</xdr:row>
      <xdr:rowOff>76200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603AC42-6F4D-EF41-999E-93344C743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1900" y="114300"/>
          <a:ext cx="2586736" cy="850900"/>
        </a:xfrm>
        <a:prstGeom prst="rect">
          <a:avLst/>
        </a:prstGeom>
      </xdr:spPr>
    </xdr:pic>
    <xdr:clientData/>
  </xdr:twoCellAnchor>
  <xdr:twoCellAnchor>
    <xdr:from>
      <xdr:col>2</xdr:col>
      <xdr:colOff>1143000</xdr:colOff>
      <xdr:row>5</xdr:row>
      <xdr:rowOff>12700</xdr:rowOff>
    </xdr:from>
    <xdr:to>
      <xdr:col>7</xdr:col>
      <xdr:colOff>1282700</xdr:colOff>
      <xdr:row>26</xdr:row>
      <xdr:rowOff>101600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C3D7F10-E782-AB43-95E4-C530DB7B70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1244600</xdr:colOff>
      <xdr:row>0</xdr:row>
      <xdr:rowOff>0</xdr:rowOff>
    </xdr:from>
    <xdr:to>
      <xdr:col>7</xdr:col>
      <xdr:colOff>2291705</xdr:colOff>
      <xdr:row>2</xdr:row>
      <xdr:rowOff>177800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D365676-4F55-234C-BFD4-B70FDB58E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0" y="0"/>
          <a:ext cx="2586736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soinsights.com/wp-content/uploads/sites/5/2016/08/2016-Sales-Enablement-Optimization-Study.pdf" TargetMode="External"/><Relationship Id="rId2" Type="http://schemas.openxmlformats.org/officeDocument/2006/relationships/hyperlink" Target="https://blog.hubspot.com/sales/salespeople-only-spent-one-third-of-their-time-selling-last-year" TargetMode="External"/><Relationship Id="rId1" Type="http://schemas.openxmlformats.org/officeDocument/2006/relationships/hyperlink" Target="https://www.csoinsights.com/wp-content/uploads/sites/5/2016/08/2016-Sales-Enablement-Optimization-Study.pdf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slideshare.net/MichaelGerard1/2013-sales-enablement-strategy-by-idc-sales-and-cmo-advisory-servi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83DF-18C1-0041-BC6E-261D3E99DF6B}">
  <sheetPr>
    <pageSetUpPr fitToPage="1"/>
  </sheetPr>
  <dimension ref="A1:J39"/>
  <sheetViews>
    <sheetView zoomScale="130" zoomScaleNormal="130" zoomScalePageLayoutView="120" workbookViewId="0">
      <selection activeCell="A36" sqref="A36"/>
    </sheetView>
  </sheetViews>
  <sheetFormatPr baseColWidth="10" defaultRowHeight="16" x14ac:dyDescent="0.2"/>
  <cols>
    <col min="1" max="1" width="50" customWidth="1"/>
    <col min="2" max="2" width="25.1640625" customWidth="1"/>
    <col min="3" max="3" width="15.1640625" customWidth="1"/>
    <col min="4" max="4" width="14.1640625" customWidth="1"/>
    <col min="5" max="5" width="24.83203125" customWidth="1"/>
    <col min="6" max="6" width="28.1640625" customWidth="1"/>
    <col min="7" max="7" width="28.6640625" customWidth="1"/>
    <col min="8" max="8" width="17.5" customWidth="1"/>
    <col min="9" max="9" width="16.6640625" customWidth="1"/>
    <col min="10" max="10" width="19.1640625" customWidth="1"/>
  </cols>
  <sheetData>
    <row r="1" spans="1:10" ht="26" x14ac:dyDescent="0.3">
      <c r="A1" s="12" t="s">
        <v>45</v>
      </c>
    </row>
    <row r="2" spans="1:10" ht="27" thickBot="1" x14ac:dyDescent="0.35">
      <c r="A2" s="9" t="s">
        <v>46</v>
      </c>
      <c r="B2" s="9"/>
    </row>
    <row r="3" spans="1:10" ht="17" thickTop="1" x14ac:dyDescent="0.2"/>
    <row r="5" spans="1:10" ht="21" thickBot="1" x14ac:dyDescent="0.3">
      <c r="A5" s="1" t="s">
        <v>12</v>
      </c>
      <c r="B5" s="1" t="s">
        <v>27</v>
      </c>
    </row>
    <row r="6" spans="1:10" ht="17" thickTop="1" x14ac:dyDescent="0.2">
      <c r="A6" t="s">
        <v>2</v>
      </c>
      <c r="B6" s="3">
        <f>Input!G17</f>
        <v>625000</v>
      </c>
    </row>
    <row r="7" spans="1:10" x14ac:dyDescent="0.2">
      <c r="A7" t="s">
        <v>15</v>
      </c>
      <c r="B7" s="3">
        <f>Input!G20</f>
        <v>450000.00000000012</v>
      </c>
    </row>
    <row r="8" spans="1:10" ht="17" thickBot="1" x14ac:dyDescent="0.25">
      <c r="A8" s="7" t="s">
        <v>17</v>
      </c>
      <c r="B8" s="8">
        <f>SUM(B6:B7)</f>
        <v>1075000</v>
      </c>
    </row>
    <row r="9" spans="1:10" ht="17" thickTop="1" x14ac:dyDescent="0.2"/>
    <row r="10" spans="1:10" ht="21" thickBot="1" x14ac:dyDescent="0.3">
      <c r="A10" s="1" t="s">
        <v>55</v>
      </c>
      <c r="B10" s="1" t="s">
        <v>27</v>
      </c>
    </row>
    <row r="11" spans="1:10" ht="17" thickTop="1" x14ac:dyDescent="0.2">
      <c r="A11" t="s">
        <v>1</v>
      </c>
      <c r="B11" s="3">
        <f>Input!G26</f>
        <v>687500</v>
      </c>
      <c r="J11" s="3"/>
    </row>
    <row r="12" spans="1:10" x14ac:dyDescent="0.2">
      <c r="A12" t="s">
        <v>9</v>
      </c>
      <c r="B12" s="3">
        <f>Input!G29</f>
        <v>1500000.0000000014</v>
      </c>
    </row>
    <row r="13" spans="1:10" ht="17" thickBot="1" x14ac:dyDescent="0.25">
      <c r="A13" s="7" t="s">
        <v>17</v>
      </c>
      <c r="B13" s="8">
        <f>SUM(B11:B12)</f>
        <v>2187500.0000000014</v>
      </c>
    </row>
    <row r="14" spans="1:10" ht="17" thickTop="1" x14ac:dyDescent="0.2"/>
    <row r="15" spans="1:10" ht="21" thickBot="1" x14ac:dyDescent="0.3">
      <c r="A15" s="1" t="s">
        <v>44</v>
      </c>
      <c r="B15" s="1" t="s">
        <v>35</v>
      </c>
    </row>
    <row r="16" spans="1:10" ht="17" thickTop="1" x14ac:dyDescent="0.2">
      <c r="A16" t="s">
        <v>18</v>
      </c>
      <c r="B16" s="3">
        <f>Input!E37</f>
        <v>22800</v>
      </c>
    </row>
    <row r="17" spans="1:8" x14ac:dyDescent="0.2">
      <c r="A17" t="s">
        <v>22</v>
      </c>
      <c r="B17" s="3">
        <f>Input!E38</f>
        <v>40000</v>
      </c>
    </row>
    <row r="18" spans="1:8" x14ac:dyDescent="0.2">
      <c r="A18" t="s">
        <v>54</v>
      </c>
      <c r="B18" s="3">
        <f>Input!E39</f>
        <v>0</v>
      </c>
    </row>
    <row r="19" spans="1:8" x14ac:dyDescent="0.2">
      <c r="A19" t="s">
        <v>23</v>
      </c>
      <c r="B19" s="3">
        <f>Input!E40</f>
        <v>62500</v>
      </c>
    </row>
    <row r="20" spans="1:8" x14ac:dyDescent="0.2">
      <c r="A20" t="s">
        <v>24</v>
      </c>
      <c r="B20" s="3">
        <f>Input!E42</f>
        <v>62500</v>
      </c>
    </row>
    <row r="21" spans="1:8" ht="17" thickBot="1" x14ac:dyDescent="0.25">
      <c r="A21" s="7" t="s">
        <v>17</v>
      </c>
      <c r="B21" s="8">
        <f>SUM(B16:B20)</f>
        <v>187800</v>
      </c>
    </row>
    <row r="22" spans="1:8" ht="17" thickTop="1" x14ac:dyDescent="0.2"/>
    <row r="23" spans="1:8" ht="21" thickBot="1" x14ac:dyDescent="0.3">
      <c r="A23" s="1" t="s">
        <v>21</v>
      </c>
      <c r="B23" s="1" t="s">
        <v>35</v>
      </c>
    </row>
    <row r="24" spans="1:8" ht="17" thickTop="1" x14ac:dyDescent="0.2">
      <c r="A24" t="s">
        <v>26</v>
      </c>
      <c r="B24" s="3">
        <f>Input!E46</f>
        <v>22800</v>
      </c>
    </row>
    <row r="25" spans="1:8" x14ac:dyDescent="0.2">
      <c r="A25" t="s">
        <v>22</v>
      </c>
      <c r="B25" s="3">
        <f>Input!E47</f>
        <v>10000</v>
      </c>
    </row>
    <row r="26" spans="1:8" x14ac:dyDescent="0.2">
      <c r="A26" t="s">
        <v>54</v>
      </c>
      <c r="B26" s="3">
        <f>Input!E48</f>
        <v>0</v>
      </c>
    </row>
    <row r="27" spans="1:8" x14ac:dyDescent="0.2">
      <c r="A27" t="s">
        <v>30</v>
      </c>
      <c r="B27" s="3">
        <f>Input!E49</f>
        <v>15625</v>
      </c>
    </row>
    <row r="28" spans="1:8" x14ac:dyDescent="0.2">
      <c r="A28" t="s">
        <v>24</v>
      </c>
      <c r="B28" s="3">
        <f>Input!E51</f>
        <v>7500</v>
      </c>
    </row>
    <row r="29" spans="1:8" ht="18" thickBot="1" x14ac:dyDescent="0.25">
      <c r="A29" s="7" t="s">
        <v>21</v>
      </c>
      <c r="B29" s="8">
        <f>SUM(B24:B28)</f>
        <v>55925</v>
      </c>
      <c r="D29" s="6" t="s">
        <v>34</v>
      </c>
      <c r="E29" s="6">
        <v>0</v>
      </c>
      <c r="F29" s="6">
        <v>1</v>
      </c>
      <c r="G29" s="6">
        <v>2</v>
      </c>
      <c r="H29" s="6">
        <v>3</v>
      </c>
    </row>
    <row r="30" spans="1:8" ht="17" thickTop="1" x14ac:dyDescent="0.2">
      <c r="D30" t="s">
        <v>35</v>
      </c>
      <c r="E30" s="3">
        <f>Input!E43</f>
        <v>375300</v>
      </c>
      <c r="F30" s="3">
        <f>Input!$E$52</f>
        <v>243425</v>
      </c>
      <c r="G30" s="3">
        <f>Input!$E$52</f>
        <v>243425</v>
      </c>
      <c r="H30" s="3">
        <f>Input!$E$52</f>
        <v>243425</v>
      </c>
    </row>
    <row r="31" spans="1:8" x14ac:dyDescent="0.2">
      <c r="D31" t="s">
        <v>12</v>
      </c>
      <c r="E31" s="3">
        <v>0</v>
      </c>
      <c r="F31" s="3">
        <f>B8*(12-Input!$B$10)/12</f>
        <v>806250</v>
      </c>
      <c r="G31" s="3">
        <f>$B$8</f>
        <v>1075000</v>
      </c>
      <c r="H31" s="3">
        <f>$B$8</f>
        <v>1075000</v>
      </c>
    </row>
    <row r="32" spans="1:8" ht="18" thickBot="1" x14ac:dyDescent="0.25">
      <c r="A32" s="6" t="s">
        <v>36</v>
      </c>
      <c r="B32" s="13">
        <f>H33/SUM(E30:H30)</f>
        <v>1.6739479456391471</v>
      </c>
      <c r="D32" t="s">
        <v>56</v>
      </c>
      <c r="E32" s="3"/>
      <c r="F32" s="3">
        <f>B13*(12-Input!$B$10)/12</f>
        <v>1640625.0000000009</v>
      </c>
      <c r="G32" s="3">
        <f>$B$13</f>
        <v>2187500.0000000014</v>
      </c>
      <c r="H32" s="3">
        <f>$B$13</f>
        <v>2187500.0000000014</v>
      </c>
    </row>
    <row r="33" spans="1:8" ht="18" thickTop="1" thickBot="1" x14ac:dyDescent="0.25">
      <c r="A33" s="7" t="s">
        <v>68</v>
      </c>
      <c r="B33" s="17">
        <f>-E33/(F31+F32)*12</f>
        <v>1.8405517241379301</v>
      </c>
      <c r="D33" s="7" t="s">
        <v>37</v>
      </c>
      <c r="E33" s="8">
        <f>E31-E30</f>
        <v>-375300</v>
      </c>
      <c r="F33" s="8">
        <f>F31-F30+E33</f>
        <v>187525</v>
      </c>
      <c r="G33" s="8">
        <f>G31-G30+F33</f>
        <v>1019100</v>
      </c>
      <c r="H33" s="8">
        <f>H31-H30+G33</f>
        <v>1850675</v>
      </c>
    </row>
    <row r="34" spans="1:8" ht="17" thickTop="1" x14ac:dyDescent="0.2">
      <c r="F34" s="3"/>
    </row>
    <row r="35" spans="1:8" x14ac:dyDescent="0.2">
      <c r="F35" s="3"/>
    </row>
    <row r="39" spans="1:8" x14ac:dyDescent="0.2">
      <c r="C39" s="3"/>
    </row>
  </sheetData>
  <pageMargins left="0.7" right="0.7" top="0.75" bottom="0.75" header="0.3" footer="0.3"/>
  <pageSetup paperSize="9" scale="60" fitToHeight="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56B7-D7B0-BB45-8CD0-45552AAE3148}">
  <sheetPr>
    <pageSetUpPr fitToPage="1"/>
  </sheetPr>
  <dimension ref="A1:H53"/>
  <sheetViews>
    <sheetView tabSelected="1" view="pageLayout" zoomScale="130" zoomScaleNormal="100" zoomScalePageLayoutView="130" workbookViewId="0">
      <selection activeCell="G17" sqref="G17"/>
    </sheetView>
  </sheetViews>
  <sheetFormatPr baseColWidth="10" defaultRowHeight="16" x14ac:dyDescent="0.2"/>
  <cols>
    <col min="1" max="1" width="50" customWidth="1"/>
    <col min="2" max="2" width="25.1640625" customWidth="1"/>
    <col min="3" max="3" width="15.1640625" customWidth="1"/>
    <col min="4" max="4" width="14.1640625" customWidth="1"/>
    <col min="5" max="5" width="20.6640625" customWidth="1"/>
    <col min="6" max="6" width="21" customWidth="1"/>
    <col min="7" max="7" width="20.33203125" customWidth="1"/>
    <col min="8" max="8" width="36.1640625" customWidth="1"/>
  </cols>
  <sheetData>
    <row r="1" spans="1:7" ht="26" x14ac:dyDescent="0.3">
      <c r="A1" s="12" t="s">
        <v>45</v>
      </c>
    </row>
    <row r="2" spans="1:7" ht="27" thickBot="1" x14ac:dyDescent="0.35">
      <c r="A2" s="9" t="s">
        <v>46</v>
      </c>
    </row>
    <row r="3" spans="1:7" ht="17" thickTop="1" x14ac:dyDescent="0.2"/>
    <row r="4" spans="1:7" ht="26" x14ac:dyDescent="0.3">
      <c r="A4" s="10" t="s">
        <v>43</v>
      </c>
    </row>
    <row r="5" spans="1:7" ht="18" thickBot="1" x14ac:dyDescent="0.25">
      <c r="A5" s="6"/>
      <c r="B5" s="6"/>
    </row>
    <row r="6" spans="1:7" ht="17" thickTop="1" x14ac:dyDescent="0.2">
      <c r="A6" t="s">
        <v>14</v>
      </c>
      <c r="B6">
        <v>100</v>
      </c>
    </row>
    <row r="7" spans="1:7" x14ac:dyDescent="0.2">
      <c r="A7" t="s">
        <v>53</v>
      </c>
      <c r="B7">
        <v>75</v>
      </c>
    </row>
    <row r="8" spans="1:7" x14ac:dyDescent="0.2">
      <c r="A8" t="s">
        <v>19</v>
      </c>
      <c r="B8" s="3">
        <v>100000</v>
      </c>
    </row>
    <row r="9" spans="1:7" x14ac:dyDescent="0.2">
      <c r="A9" t="s">
        <v>20</v>
      </c>
      <c r="B9" s="3">
        <v>25000</v>
      </c>
    </row>
    <row r="10" spans="1:7" x14ac:dyDescent="0.2">
      <c r="A10" t="s">
        <v>28</v>
      </c>
      <c r="B10" s="3">
        <v>3</v>
      </c>
    </row>
    <row r="11" spans="1:7" x14ac:dyDescent="0.2">
      <c r="A11" t="s">
        <v>39</v>
      </c>
      <c r="B11" s="3">
        <v>500000</v>
      </c>
    </row>
    <row r="13" spans="1:7" x14ac:dyDescent="0.2">
      <c r="G13" s="3"/>
    </row>
    <row r="15" spans="1:7" ht="26" x14ac:dyDescent="0.3">
      <c r="A15" s="10" t="s">
        <v>29</v>
      </c>
    </row>
    <row r="16" spans="1:7" ht="18" thickBot="1" x14ac:dyDescent="0.25">
      <c r="A16" s="6"/>
      <c r="B16" s="6" t="s">
        <v>6</v>
      </c>
      <c r="C16" s="6" t="s">
        <v>5</v>
      </c>
      <c r="D16" s="6" t="s">
        <v>10</v>
      </c>
      <c r="E16" s="6" t="s">
        <v>4</v>
      </c>
      <c r="F16" s="4" t="s">
        <v>11</v>
      </c>
      <c r="G16" s="4" t="s">
        <v>50</v>
      </c>
    </row>
    <row r="17" spans="1:8" ht="17" thickTop="1" x14ac:dyDescent="0.2">
      <c r="A17" t="s">
        <v>52</v>
      </c>
      <c r="B17" t="s">
        <v>3</v>
      </c>
      <c r="C17">
        <v>3.5</v>
      </c>
      <c r="D17">
        <v>2.5</v>
      </c>
      <c r="E17" t="s">
        <v>7</v>
      </c>
      <c r="F17" s="3">
        <f>B9/160</f>
        <v>156.25</v>
      </c>
      <c r="G17" s="3">
        <f>(C17-D17)*F17*B6*40</f>
        <v>625000</v>
      </c>
      <c r="H17" s="15" t="s">
        <v>63</v>
      </c>
    </row>
    <row r="19" spans="1:8" ht="18" thickBot="1" x14ac:dyDescent="0.25">
      <c r="A19" s="6"/>
      <c r="B19" s="6" t="s">
        <v>6</v>
      </c>
      <c r="C19" s="6" t="s">
        <v>5</v>
      </c>
      <c r="D19" s="6" t="s">
        <v>10</v>
      </c>
      <c r="E19" s="5" t="s">
        <v>16</v>
      </c>
      <c r="F19" s="4" t="s">
        <v>11</v>
      </c>
      <c r="G19" s="4" t="s">
        <v>51</v>
      </c>
    </row>
    <row r="20" spans="1:8" ht="17" thickTop="1" x14ac:dyDescent="0.2">
      <c r="A20" t="s">
        <v>15</v>
      </c>
      <c r="B20" t="s">
        <v>0</v>
      </c>
      <c r="C20" s="16">
        <v>0.16500000000000001</v>
      </c>
      <c r="D20" s="16">
        <v>0.12</v>
      </c>
      <c r="E20">
        <f>B6*(C20-D20)</f>
        <v>4.5000000000000009</v>
      </c>
      <c r="F20" s="3">
        <v>100000</v>
      </c>
      <c r="G20" s="3">
        <f>E20*F20</f>
        <v>450000.00000000012</v>
      </c>
      <c r="H20" s="15" t="s">
        <v>62</v>
      </c>
    </row>
    <row r="22" spans="1:8" ht="17" thickBot="1" x14ac:dyDescent="0.25">
      <c r="A22" s="7" t="s">
        <v>17</v>
      </c>
      <c r="B22" s="7"/>
      <c r="C22" s="7"/>
      <c r="D22" s="7"/>
      <c r="E22" s="7"/>
      <c r="F22" s="7"/>
      <c r="G22" s="8">
        <f>SUM(G16:G21)</f>
        <v>1075000</v>
      </c>
    </row>
    <row r="23" spans="1:8" ht="17" thickTop="1" x14ac:dyDescent="0.2"/>
    <row r="24" spans="1:8" ht="26" x14ac:dyDescent="0.3">
      <c r="A24" s="10" t="s">
        <v>55</v>
      </c>
    </row>
    <row r="25" spans="1:8" ht="35" thickBot="1" x14ac:dyDescent="0.25">
      <c r="A25" s="6"/>
      <c r="B25" s="6" t="s">
        <v>6</v>
      </c>
      <c r="C25" s="6" t="s">
        <v>5</v>
      </c>
      <c r="D25" s="6" t="s">
        <v>10</v>
      </c>
      <c r="E25" s="14" t="s">
        <v>48</v>
      </c>
      <c r="F25" s="5" t="s">
        <v>13</v>
      </c>
      <c r="G25" s="4" t="s">
        <v>49</v>
      </c>
    </row>
    <row r="26" spans="1:8" ht="17" thickTop="1" x14ac:dyDescent="0.2">
      <c r="A26" t="s">
        <v>47</v>
      </c>
      <c r="B26" t="s">
        <v>61</v>
      </c>
      <c r="C26">
        <v>7</v>
      </c>
      <c r="D26">
        <v>6</v>
      </c>
      <c r="E26" s="2">
        <v>0.5</v>
      </c>
      <c r="F26">
        <f>B6*C20</f>
        <v>16.5</v>
      </c>
      <c r="G26" s="3">
        <f>(C26-D26)*B11/12*F26</f>
        <v>687500</v>
      </c>
      <c r="H26" s="15" t="s">
        <v>62</v>
      </c>
    </row>
    <row r="28" spans="1:8" ht="18" thickBot="1" x14ac:dyDescent="0.25">
      <c r="A28" s="6"/>
      <c r="B28" s="6" t="s">
        <v>6</v>
      </c>
      <c r="C28" s="6" t="s">
        <v>5</v>
      </c>
      <c r="D28" s="6" t="s">
        <v>10</v>
      </c>
      <c r="E28" s="6" t="s">
        <v>4</v>
      </c>
      <c r="F28" s="4" t="s">
        <v>11</v>
      </c>
      <c r="G28" s="4" t="s">
        <v>49</v>
      </c>
    </row>
    <row r="29" spans="1:8" ht="17" thickTop="1" x14ac:dyDescent="0.2">
      <c r="A29" t="s">
        <v>9</v>
      </c>
      <c r="B29" t="s">
        <v>31</v>
      </c>
      <c r="C29" s="2">
        <v>0.95</v>
      </c>
      <c r="D29" s="2">
        <v>0.99</v>
      </c>
      <c r="E29" t="s">
        <v>8</v>
      </c>
      <c r="F29" s="3">
        <f>B11</f>
        <v>500000</v>
      </c>
      <c r="G29" s="3">
        <f>(D29-C29)*F29*B7</f>
        <v>1500000.0000000014</v>
      </c>
      <c r="H29" s="15" t="s">
        <v>64</v>
      </c>
    </row>
    <row r="30" spans="1:8" x14ac:dyDescent="0.2">
      <c r="H30" s="15" t="s">
        <v>32</v>
      </c>
    </row>
    <row r="31" spans="1:8" ht="17" thickBot="1" x14ac:dyDescent="0.25">
      <c r="A31" s="7" t="s">
        <v>17</v>
      </c>
      <c r="B31" s="7"/>
      <c r="C31" s="7"/>
      <c r="D31" s="7"/>
      <c r="E31" s="7"/>
      <c r="F31" s="7"/>
      <c r="G31" s="8">
        <f>SUM(G26:G30)</f>
        <v>2187500.0000000014</v>
      </c>
      <c r="H31" s="15" t="s">
        <v>65</v>
      </c>
    </row>
    <row r="32" spans="1:8" ht="17" thickTop="1" x14ac:dyDescent="0.2"/>
    <row r="34" spans="1:6" ht="26" x14ac:dyDescent="0.3">
      <c r="A34" s="10" t="s">
        <v>38</v>
      </c>
    </row>
    <row r="36" spans="1:6" ht="41" thickBot="1" x14ac:dyDescent="0.3">
      <c r="A36" s="1" t="s">
        <v>33</v>
      </c>
      <c r="B36" s="1" t="s">
        <v>4</v>
      </c>
      <c r="C36" s="11" t="s">
        <v>42</v>
      </c>
      <c r="D36" s="1" t="s">
        <v>40</v>
      </c>
      <c r="E36" s="1" t="s">
        <v>35</v>
      </c>
    </row>
    <row r="37" spans="1:6" ht="17" thickTop="1" x14ac:dyDescent="0.2">
      <c r="A37" t="s">
        <v>18</v>
      </c>
      <c r="B37" s="3" t="s">
        <v>41</v>
      </c>
      <c r="C37" s="3">
        <f>19*12</f>
        <v>228</v>
      </c>
      <c r="D37">
        <f>$B$6</f>
        <v>100</v>
      </c>
      <c r="E37" s="3">
        <f t="shared" ref="E37:E42" si="0">C37*D37</f>
        <v>22800</v>
      </c>
    </row>
    <row r="38" spans="1:6" x14ac:dyDescent="0.2">
      <c r="A38" t="s">
        <v>22</v>
      </c>
      <c r="B38" s="3" t="s">
        <v>7</v>
      </c>
      <c r="C38" s="3">
        <v>200</v>
      </c>
      <c r="D38">
        <f>B6*2</f>
        <v>200</v>
      </c>
      <c r="E38" s="3">
        <f t="shared" si="0"/>
        <v>40000</v>
      </c>
      <c r="F38" t="s">
        <v>66</v>
      </c>
    </row>
    <row r="39" spans="1:6" x14ac:dyDescent="0.2">
      <c r="A39" t="s">
        <v>25</v>
      </c>
      <c r="B39" s="3"/>
      <c r="C39" s="3">
        <v>0</v>
      </c>
      <c r="E39" s="3">
        <f t="shared" si="0"/>
        <v>0</v>
      </c>
    </row>
    <row r="40" spans="1:6" x14ac:dyDescent="0.2">
      <c r="A40" t="s">
        <v>23</v>
      </c>
      <c r="B40" s="3" t="s">
        <v>7</v>
      </c>
      <c r="C40" s="3">
        <f>$B$9/160</f>
        <v>156.25</v>
      </c>
      <c r="D40">
        <f>D38*2</f>
        <v>400</v>
      </c>
      <c r="E40" s="3">
        <f t="shared" si="0"/>
        <v>62500</v>
      </c>
      <c r="F40" t="s">
        <v>67</v>
      </c>
    </row>
    <row r="41" spans="1:6" x14ac:dyDescent="0.2">
      <c r="A41" t="s">
        <v>59</v>
      </c>
      <c r="B41" s="3" t="s">
        <v>7</v>
      </c>
      <c r="C41" s="3">
        <f>$B$9/160</f>
        <v>156.25</v>
      </c>
      <c r="D41">
        <f>$B$7*8*2</f>
        <v>1200</v>
      </c>
      <c r="E41" s="3">
        <f t="shared" si="0"/>
        <v>187500</v>
      </c>
      <c r="F41" t="s">
        <v>58</v>
      </c>
    </row>
    <row r="42" spans="1:6" x14ac:dyDescent="0.2">
      <c r="A42" t="s">
        <v>24</v>
      </c>
      <c r="B42" s="3" t="s">
        <v>7</v>
      </c>
      <c r="C42" s="3">
        <f>$B$9/160</f>
        <v>156.25</v>
      </c>
      <c r="D42">
        <f>$B$6*4</f>
        <v>400</v>
      </c>
      <c r="E42" s="3">
        <f t="shared" si="0"/>
        <v>62500</v>
      </c>
      <c r="F42" t="s">
        <v>57</v>
      </c>
    </row>
    <row r="43" spans="1:6" ht="17" thickBot="1" x14ac:dyDescent="0.25">
      <c r="A43" s="7" t="s">
        <v>17</v>
      </c>
      <c r="B43" s="8"/>
      <c r="C43" s="8"/>
      <c r="D43" s="8"/>
      <c r="E43" s="8">
        <f>SUM(E37:E42)</f>
        <v>375300</v>
      </c>
    </row>
    <row r="44" spans="1:6" ht="17" thickTop="1" x14ac:dyDescent="0.2"/>
    <row r="45" spans="1:6" ht="41" thickBot="1" x14ac:dyDescent="0.3">
      <c r="A45" s="1" t="s">
        <v>21</v>
      </c>
      <c r="B45" s="1" t="s">
        <v>4</v>
      </c>
      <c r="C45" s="11" t="s">
        <v>42</v>
      </c>
      <c r="D45" s="1" t="s">
        <v>40</v>
      </c>
      <c r="E45" s="1" t="s">
        <v>35</v>
      </c>
    </row>
    <row r="46" spans="1:6" ht="17" thickTop="1" x14ac:dyDescent="0.2">
      <c r="A46" t="s">
        <v>26</v>
      </c>
      <c r="B46" s="3" t="s">
        <v>41</v>
      </c>
      <c r="C46" s="3">
        <f>19*12</f>
        <v>228</v>
      </c>
      <c r="D46">
        <f>$B$6</f>
        <v>100</v>
      </c>
      <c r="E46" s="3">
        <f t="shared" ref="E46:E51" si="1">C46*D46</f>
        <v>22800</v>
      </c>
    </row>
    <row r="47" spans="1:6" x14ac:dyDescent="0.2">
      <c r="A47" t="s">
        <v>22</v>
      </c>
      <c r="B47" s="3" t="s">
        <v>7</v>
      </c>
      <c r="C47" s="3">
        <v>200</v>
      </c>
      <c r="D47">
        <f>D38/4</f>
        <v>50</v>
      </c>
      <c r="E47" s="3">
        <f t="shared" si="1"/>
        <v>10000</v>
      </c>
      <c r="F47" t="s">
        <v>70</v>
      </c>
    </row>
    <row r="48" spans="1:6" x14ac:dyDescent="0.2">
      <c r="A48" t="s">
        <v>25</v>
      </c>
      <c r="B48" s="3"/>
      <c r="C48" s="3">
        <v>0</v>
      </c>
      <c r="E48" s="3">
        <f t="shared" si="1"/>
        <v>0</v>
      </c>
    </row>
    <row r="49" spans="1:6" x14ac:dyDescent="0.2">
      <c r="A49" t="s">
        <v>30</v>
      </c>
      <c r="B49" s="3" t="s">
        <v>7</v>
      </c>
      <c r="C49" s="3">
        <f>$B$9/160</f>
        <v>156.25</v>
      </c>
      <c r="D49">
        <f>D40/4</f>
        <v>100</v>
      </c>
      <c r="E49" s="3">
        <f t="shared" si="1"/>
        <v>15625</v>
      </c>
      <c r="F49" t="s">
        <v>69</v>
      </c>
    </row>
    <row r="50" spans="1:6" x14ac:dyDescent="0.2">
      <c r="A50" t="s">
        <v>59</v>
      </c>
      <c r="B50" s="3" t="s">
        <v>7</v>
      </c>
      <c r="C50" s="3">
        <f>$B$9/160</f>
        <v>156.25</v>
      </c>
      <c r="D50">
        <f>$B$7*8*2</f>
        <v>1200</v>
      </c>
      <c r="E50" s="3">
        <f t="shared" si="1"/>
        <v>187500</v>
      </c>
      <c r="F50" t="s">
        <v>58</v>
      </c>
    </row>
    <row r="51" spans="1:6" x14ac:dyDescent="0.2">
      <c r="A51" t="s">
        <v>24</v>
      </c>
      <c r="B51" s="3" t="s">
        <v>7</v>
      </c>
      <c r="C51" s="3">
        <f>$B$9/160</f>
        <v>156.25</v>
      </c>
      <c r="D51">
        <f>$B$6*D20*4</f>
        <v>48</v>
      </c>
      <c r="E51" s="3">
        <f t="shared" si="1"/>
        <v>7500</v>
      </c>
      <c r="F51" t="s">
        <v>60</v>
      </c>
    </row>
    <row r="52" spans="1:6" ht="17" thickBot="1" x14ac:dyDescent="0.25">
      <c r="A52" s="7" t="s">
        <v>17</v>
      </c>
      <c r="B52" s="8"/>
      <c r="C52" s="8"/>
      <c r="D52" s="8"/>
      <c r="E52" s="8">
        <f>SUM(E46:E51)</f>
        <v>243425</v>
      </c>
    </row>
    <row r="53" spans="1:6" ht="17" thickTop="1" x14ac:dyDescent="0.2"/>
  </sheetData>
  <hyperlinks>
    <hyperlink ref="H26" r:id="rId1" xr:uid="{76AB3991-B68B-6847-A186-897D8E6AB109}"/>
    <hyperlink ref="H17" r:id="rId2" xr:uid="{4889BD03-3C41-1E4F-A464-D420F7C313E1}"/>
    <hyperlink ref="H20" r:id="rId3" xr:uid="{61365123-7FBE-A94B-8012-46F7221C2509}"/>
    <hyperlink ref="H31" r:id="rId4" xr:uid="{53B064FA-02EC-8C44-B912-450545612D2F}"/>
  </hyperlinks>
  <pageMargins left="0.7" right="0.7" top="0.75" bottom="0.75" header="0.3" footer="0.3"/>
  <pageSetup paperSize="9" scale="52" orientation="landscape" horizontalDpi="0" verticalDpi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C0449CF3CDA4097D254C0D07209D0" ma:contentTypeVersion="4" ma:contentTypeDescription="Create a new document." ma:contentTypeScope="" ma:versionID="4e2c3b7c3d92d561af8847447ccc2c06">
  <xsd:schema xmlns:xsd="http://www.w3.org/2001/XMLSchema" xmlns:xs="http://www.w3.org/2001/XMLSchema" xmlns:p="http://schemas.microsoft.com/office/2006/metadata/properties" xmlns:ns2="7526514e-864a-4bf7-a53e-81a4218480c4" xmlns:ns3="57201aed-f09c-41e4-be3f-6e233769a4d5" targetNamespace="http://schemas.microsoft.com/office/2006/metadata/properties" ma:root="true" ma:fieldsID="fa92e4e0d13fa958660705599d139a94" ns2:_="" ns3:_="">
    <xsd:import namespace="7526514e-864a-4bf7-a53e-81a4218480c4"/>
    <xsd:import namespace="57201aed-f09c-41e4-be3f-6e233769a4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6514e-864a-4bf7-a53e-81a421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01aed-f09c-41e4-be3f-6e233769a4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BC2EC8-28B7-4737-8539-1C9AED137D9B}">
  <ds:schemaRefs>
    <ds:schemaRef ds:uri="http://schemas.microsoft.com/office/2006/metadata/properties"/>
    <ds:schemaRef ds:uri="57201aed-f09c-41e4-be3f-6e233769a4d5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526514e-864a-4bf7-a53e-81a4218480c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DE322E-6E29-4A08-A6DC-89696DFBD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26514e-864a-4bf7-a53e-81a4218480c4"/>
    <ds:schemaRef ds:uri="57201aed-f09c-41e4-be3f-6e233769a4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84104-5DE5-4DE2-8FFB-C8861C8908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Summary</vt:lpstr>
      <vt:lpstr>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Thejn</dc:creator>
  <cp:lastModifiedBy>Thomas Thejn</cp:lastModifiedBy>
  <dcterms:created xsi:type="dcterms:W3CDTF">2018-07-27T06:17:36Z</dcterms:created>
  <dcterms:modified xsi:type="dcterms:W3CDTF">2018-08-21T05:41:12Z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0x010100273C0449CF3CDA4097D254C0D07209D0</vt:lpwstr>
  </property>
</Properties>
</file>